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ndersjohansson/Documents/Claude/Projects/Lead magnets/"/>
    </mc:Choice>
  </mc:AlternateContent>
  <xr:revisionPtr revIDLastSave="0" documentId="8_{E3A758DD-19D4-7044-86BF-8347546CEE98}" xr6:coauthVersionLast="47" xr6:coauthVersionMax="47" xr10:uidLastSave="{00000000-0000-0000-0000-000000000000}"/>
  <bookViews>
    <workbookView xWindow="2440" yWindow="600" windowWidth="23980" windowHeight="21940" xr2:uid="{00000000-000D-0000-FFFF-FFFF00000000}"/>
  </bookViews>
  <sheets>
    <sheet name="How to use" sheetId="1" r:id="rId1"/>
    <sheet name="Calculator" sheetId="2" r:id="rId2"/>
    <sheet name="Deck Values" sheetId="3" r:id="rId3"/>
  </sheets>
  <definedNames>
    <definedName name="_xlnm.Print_Area" localSheetId="1">Calculator!$A$1:$E$96</definedName>
    <definedName name="_xlnm.Print_Area" localSheetId="0">'How to use'!$A$1:$B$13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7" i="3" l="1"/>
  <c r="B35" i="3"/>
  <c r="B34" i="3"/>
  <c r="B33" i="3"/>
  <c r="B32" i="3"/>
  <c r="B31" i="3"/>
  <c r="B29" i="3"/>
  <c r="B28" i="3"/>
  <c r="B27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1" i="3"/>
  <c r="B10" i="3"/>
  <c r="B9" i="3"/>
  <c r="B8" i="3"/>
  <c r="B7" i="3"/>
  <c r="B6" i="3"/>
  <c r="B5" i="3"/>
  <c r="B4" i="3"/>
  <c r="B87" i="2"/>
  <c r="B83" i="2"/>
  <c r="B82" i="2"/>
  <c r="B84" i="2" s="1"/>
  <c r="B72" i="2"/>
  <c r="B52" i="2"/>
  <c r="B70" i="2" s="1"/>
  <c r="B51" i="2"/>
  <c r="B62" i="2" s="1"/>
  <c r="B41" i="2"/>
  <c r="B40" i="2"/>
  <c r="B53" i="2" l="1"/>
  <c r="B61" i="2" s="1"/>
  <c r="B54" i="2"/>
  <c r="B63" i="2" s="1"/>
  <c r="B68" i="2"/>
  <c r="B55" i="2"/>
  <c r="B56" i="2" s="1"/>
  <c r="B60" i="2" s="1"/>
  <c r="B69" i="2"/>
  <c r="B59" i="2"/>
  <c r="B64" i="2" s="1"/>
  <c r="B65" i="2" l="1"/>
  <c r="B71" i="2"/>
  <c r="B73" i="2" s="1"/>
  <c r="B76" i="2" l="1"/>
  <c r="B77" i="2"/>
  <c r="B78" i="2"/>
  <c r="B85" i="2" l="1"/>
  <c r="B86" i="2" s="1"/>
  <c r="B79" i="2"/>
  <c r="B88" i="2" s="1"/>
  <c r="B89" i="2" s="1"/>
  <c r="B90" i="2"/>
</calcChain>
</file>

<file path=xl/sharedStrings.xml><?xml version="1.0" encoding="utf-8"?>
<sst xmlns="http://schemas.openxmlformats.org/spreadsheetml/2006/main" count="164" uniqueCount="159">
  <si>
    <t>HOW TO BUILD THE GM DECK FROM THIS CALCULATOR</t>
  </si>
  <si>
    <t>1</t>
  </si>
  <si>
    <t>On the Calculator tab, fill the blue cells with your hotel's numbers. Set Location and Currency in the Deck Header block near the bottom.</t>
  </si>
  <si>
    <t>2</t>
  </si>
  <si>
    <t>Everything else calculates on its own. Do not touch the grey assumption cells unless you can defend the change to a GM.</t>
  </si>
  <si>
    <t>3</t>
  </si>
  <si>
    <t>Open the Deck Values tab. It lists every [[placeholder]] used in the deck next to the exact text to paste, already rounded and formatted.</t>
  </si>
  <si>
    <t>4</t>
  </si>
  <si>
    <t>Open the template PowerPoint. Every number shows as a [[placeholder]], and each slide has a yellow TEMPLATE banner.</t>
  </si>
  <si>
    <t>5</t>
  </si>
  <si>
    <t>For each placeholder, copy its value from Deck Values and paste it over the matching [[bracket]] in the deck. Use PowerPoint Replace (Ctrl+H or Cmd+H) to fill every copy of a placeholder at once.</t>
  </si>
  <si>
    <t>6</t>
  </si>
  <si>
    <t>Set the decision date on the last slide. Delete the yellow TEMPLATE banners. The deck is ready.</t>
  </si>
  <si>
    <t>GOOD TO KNOW</t>
  </si>
  <si>
    <t>·  The three backup slides (full math, three years, P&amp;L) stay hidden. Fill their placeholders only if you plan to show them.</t>
  </si>
  <si>
    <t>·  The capture rates on the three-year backup are fixed at 23% and 42%, the standard scenario. Change them by hand only if you change the scenario cells.</t>
  </si>
  <si>
    <t>·  The deck reads as five slides. Present those; the backups are there if a GM asks for the detail.</t>
  </si>
  <si>
    <t>DEMAND / CALENDAR   ·   PROFIT BRIEF CALCULATOR (FULL MODEL)</t>
  </si>
  <si>
    <t>Reproduces the Apex-style profit brief: diagnostic leak, upside, capture-discounted 3-year profit, and net ROI. Edit the blue cells.</t>
  </si>
  <si>
    <t>1 · YOUR HOTEL   (edit the blue cells)</t>
  </si>
  <si>
    <t>Property name</t>
  </si>
  <si>
    <t>Rooms</t>
  </si>
  <si>
    <t>Occupancy %</t>
  </si>
  <si>
    <t>ADR (average daily rate)</t>
  </si>
  <si>
    <t>Average length of stay (nights)</t>
  </si>
  <si>
    <t>Groups % of room revenue</t>
  </si>
  <si>
    <t>Ancillary revenue per stay</t>
  </si>
  <si>
    <t>Labour cost % of total revenue</t>
  </si>
  <si>
    <t>CAC % of room revenue</t>
  </si>
  <si>
    <t>2 · PRICING   (GBP · Profit tier · per-room group rate)</t>
  </si>
  <si>
    <t>Price per room / month</t>
  </si>
  <si>
    <t>Profit tier group rate</t>
  </si>
  <si>
    <t>Implementation per hotel (one-time)</t>
  </si>
  <si>
    <t>Number of hotels</t>
  </si>
  <si>
    <t>Your team's time (hours, one-time)</t>
  </si>
  <si>
    <t>Shown for context, not added to cost</t>
  </si>
  <si>
    <t>3 · LEAK ASSUMPTIONS   (vetted — change only what you can defend)</t>
  </si>
  <si>
    <t>Driver</t>
  </si>
  <si>
    <t>Error</t>
  </si>
  <si>
    <t>Recov.</t>
  </si>
  <si>
    <t>Flow</t>
  </si>
  <si>
    <t>Rooms forecast error</t>
  </si>
  <si>
    <t>Share of room revenue misforecast</t>
  </si>
  <si>
    <t>Staffing forecast error</t>
  </si>
  <si>
    <t>Share of labour cost lost to staffing error</t>
  </si>
  <si>
    <t>Wrong group acceptance</t>
  </si>
  <si>
    <t>Share of group revenue accepted wrong</t>
  </si>
  <si>
    <t>CAC reduction (points)</t>
  </si>
  <si>
    <t>Points of acquisition cost removed</t>
  </si>
  <si>
    <t>Variable-cost forecast</t>
  </si>
  <si>
    <t>Reduction on ancillary spend</t>
  </si>
  <si>
    <t>4 · UPSIDE ASSUMPTIONS</t>
  </si>
  <si>
    <t>Lever</t>
  </si>
  <si>
    <t>Lift</t>
  </si>
  <si>
    <t>Flow/Marg</t>
  </si>
  <si>
    <t>ADR lift</t>
  </si>
  <si>
    <t>90% flow-through, ex-commission</t>
  </si>
  <si>
    <t>Occupancy lift (points)</t>
  </si>
  <si>
    <t>Ancillary lift (per stay)</t>
  </si>
  <si>
    <t>40% blended margin</t>
  </si>
  <si>
    <t>Time freed (hours / year)</t>
  </si>
  <si>
    <t>× value per hour · shown, not captured</t>
  </si>
  <si>
    <t>5 · SCENARIO   (capture discount — CFO-credible)</t>
  </si>
  <si>
    <t>Capture rate</t>
  </si>
  <si>
    <t>Share of theoretical you actually recover</t>
  </si>
  <si>
    <t>Attribution to Demand Calendar</t>
  </si>
  <si>
    <t>Year 1 ramp</t>
  </si>
  <si>
    <t>Year 1 is partial: implement, then ramp</t>
  </si>
  <si>
    <t>Year 1 multiplier</t>
  </si>
  <si>
    <t>Year 2+ multiplier</t>
  </si>
  <si>
    <t>6 · OUT-YEAR INCREMENTS</t>
  </si>
  <si>
    <t>Year 2</t>
  </si>
  <si>
    <t>Year 3</t>
  </si>
  <si>
    <t>ADR lift, added</t>
  </si>
  <si>
    <t>Occupancy lift, added (pts)</t>
  </si>
  <si>
    <t>Ancillary lift, added (/stay)</t>
  </si>
  <si>
    <t>Forecast-accuracy capture</t>
  </si>
  <si>
    <t>YOUR BASELINE   (calculated)</t>
  </si>
  <si>
    <t>Room revenue</t>
  </si>
  <si>
    <t>Stays per year</t>
  </si>
  <si>
    <t>Group revenue</t>
  </si>
  <si>
    <t>Ancillary revenue</t>
  </si>
  <si>
    <t>Total revenue</t>
  </si>
  <si>
    <t>Labour cost</t>
  </si>
  <si>
    <t>DIAGNOSTIC LEAK   (theoretical, a year)</t>
  </si>
  <si>
    <t>CAC reduction (1 point)</t>
  </si>
  <si>
    <t>DIAGNOSTIC LEAK</t>
  </si>
  <si>
    <t>Leak as % of room revenue</t>
  </si>
  <si>
    <t>UPSIDE   (theoretical revenue levers, a year)</t>
  </si>
  <si>
    <t>ADR +1%</t>
  </si>
  <si>
    <t>Occupancy +1 point</t>
  </si>
  <si>
    <t>Ancillary + per stay</t>
  </si>
  <si>
    <t>Revenue lift subtotal</t>
  </si>
  <si>
    <t>Time freed (context, not captured)</t>
  </si>
  <si>
    <t>TOTAL THEORETICAL OPPORTUNITY</t>
  </si>
  <si>
    <t>Leak + revenue lift, excluding freed time</t>
  </si>
  <si>
    <t>REALISTIC PROFIT   (after capture discount)</t>
  </si>
  <si>
    <t>Year 1  (ramped, obvious wins)</t>
  </si>
  <si>
    <t>Opportunity × capture × attribution × ramp</t>
  </si>
  <si>
    <t>Year 2  (accuracy compounds)</t>
  </si>
  <si>
    <t>Apex brief manually used £214k here (model runs higher)</t>
  </si>
  <si>
    <t>Year 3  (steady state)</t>
  </si>
  <si>
    <t>Apex brief manually used £252k here (model runs higher)</t>
  </si>
  <si>
    <t>3-YEAR CUMULATIVE</t>
  </si>
  <si>
    <t>THE RETURN   (what you pay vs what you gain)</t>
  </si>
  <si>
    <t>Annual subscription</t>
  </si>
  <si>
    <t>Per-room group rate × 12</t>
  </si>
  <si>
    <t>Implementation (one-time)</t>
  </si>
  <si>
    <t>YEAR-ONE COST</t>
  </si>
  <si>
    <t>Year 2-3: subscription only</t>
  </si>
  <si>
    <t>Year 1 net gain</t>
  </si>
  <si>
    <t>Year 1 ROI (net of all costs)</t>
  </si>
  <si>
    <t>3-year cost</t>
  </si>
  <si>
    <t>3-year net gain</t>
  </si>
  <si>
    <t>3-year ROI (net of all costs)</t>
  </si>
  <si>
    <t>Payback</t>
  </si>
  <si>
    <t>Realistic = capture × attribution × ramp (0.6 × 0.7 × 0.55 = 23% in Year 1; 42% thereafter). Grey cells are defensible assumptions; the 48-hour diagnostic rebuilds every line on the hotel's real figures. Methodology based on the PORM framework, HSMAI and Singapore Institute of Technology, 2023.</t>
  </si>
  <si>
    <t>DECK HEADER   (for the generated PowerPoint)</t>
  </si>
  <si>
    <t>Location</t>
  </si>
  <si>
    <t>Currency symbol</t>
  </si>
  <si>
    <t>£</t>
  </si>
  <si>
    <t>DECK VALUES — copy each into the matching [[placeholder]] in the template</t>
  </si>
  <si>
    <t>Placeholder</t>
  </si>
  <si>
    <t>Paste this value</t>
  </si>
  <si>
    <t>Slide 1 · The recommendation</t>
  </si>
  <si>
    <t>[[HOTEL NAME]]</t>
  </si>
  <si>
    <t>[[LOCATION]]</t>
  </si>
  <si>
    <t>[[BASELINE LINE]]</t>
  </si>
  <si>
    <t>[[£ LEAK ≈]]</t>
  </si>
  <si>
    <t>[[£ YEAR-ONE COST]]</t>
  </si>
  <si>
    <t>[[BREAK-EVEN %]]</t>
  </si>
  <si>
    <t>[[PAYBACK]]</t>
  </si>
  <si>
    <t>[[DERIVATION LINE]]</t>
  </si>
  <si>
    <t>Slide 3 · The leaks</t>
  </si>
  <si>
    <t>[[£ FORECASTING]]</t>
  </si>
  <si>
    <t>[[£ ACQUISITION]]</t>
  </si>
  <si>
    <t>[[£ PRODUCTIVITY]]</t>
  </si>
  <si>
    <t>[[£ VARIABLE COST]]</t>
  </si>
  <si>
    <t>[[£ LEAK TOTAL]]</t>
  </si>
  <si>
    <t>[[£ SUBSCRIPTION]]</t>
  </si>
  <si>
    <t>[[£ IMPLEMENTATION]]</t>
  </si>
  <si>
    <t>[[ROOMS]]</t>
  </si>
  <si>
    <t>[[ROOM REV £M]]</t>
  </si>
  <si>
    <t>[[ANCILLARY £M]]</t>
  </si>
  <si>
    <t>[[LABOUR £M]]</t>
  </si>
  <si>
    <t>[[GROUP REV £K]]</t>
  </si>
  <si>
    <t>[[CAC %]]</t>
  </si>
  <si>
    <t>Backup A · Full math (hidden slide 6) — reuses slide-3 values for staffing, CAC, variable, total</t>
  </si>
  <si>
    <t>[[£ BKA ROOMS]]</t>
  </si>
  <si>
    <t>[[£ BKA GROUPS]]</t>
  </si>
  <si>
    <t>[[BKA % OF ROOM REV]]</t>
  </si>
  <si>
    <t>Backup B · Three years (hidden slide 7) — capture rates 23% / 42% are fixed in the template</t>
  </si>
  <si>
    <t>[[£ THEORETICAL OPP]]</t>
  </si>
  <si>
    <t>[[£ YEAR 1 PROFIT]]</t>
  </si>
  <si>
    <t>[[£ YEAR 2 PROFIT]]</t>
  </si>
  <si>
    <t>[[£ YEAR 3 PROFIT]]</t>
  </si>
  <si>
    <t>[[£ 3-YEAR CUMULATIVE]]</t>
  </si>
  <si>
    <t>Pitch script · objection handling</t>
  </si>
  <si>
    <t>[[£ LEAK PER QUARTER]]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</si>
</sst>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\£#,##0"/>
    <numFmt numFmtId="166" formatCode="0.0"/>
    <numFmt numFmtId="167" formatCode="\£#,##0.00"/>
    <numFmt numFmtId="168" formatCode="0.0\×"/>
    <numFmt numFmtId="169" formatCode="0.0&quot; wks&quot;"/>
  </numFmts>
  <fonts count="19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b/>
      <sz val="12"/>
      <color rgb="FFFFFFFF"/>
      <name val="Arial"/>
      <charset val="1"/>
    </font>
    <font>
      <sz val="11"/>
      <color rgb="FF1A1A1A"/>
      <name val="Arial"/>
      <charset val="1"/>
    </font>
    <font>
      <b/>
      <sz val="10"/>
      <color rgb="FF4A196F"/>
      <name val="Arial"/>
      <charset val="1"/>
    </font>
    <font>
      <sz val="10"/>
      <color rgb="FF63656A"/>
      <name val="Arial"/>
      <charset val="1"/>
    </font>
    <font>
      <i/>
      <sz val="9"/>
      <color rgb="FF63656A"/>
      <name val="Arial"/>
      <charset val="1"/>
    </font>
    <font>
      <b/>
      <sz val="11"/>
      <color rgb="FFFFFFFF"/>
      <name val="Arial"/>
      <charset val="1"/>
    </font>
    <font>
      <sz val="11"/>
      <name val="Arial"/>
      <charset val="1"/>
    </font>
    <font>
      <b/>
      <sz val="11"/>
      <color rgb="FF0000FF"/>
      <name val="Arial"/>
      <charset val="1"/>
    </font>
    <font>
      <b/>
      <sz val="9"/>
      <color rgb="FF63656A"/>
      <name val="Arial"/>
      <charset val="1"/>
    </font>
    <font>
      <sz val="10"/>
      <name val="Arial"/>
      <charset val="1"/>
    </font>
    <font>
      <sz val="11"/>
      <color rgb="FF4A196F"/>
      <name val="Arial"/>
      <charset val="1"/>
    </font>
    <font>
      <sz val="11"/>
      <color rgb="FF63656A"/>
      <name val="Arial"/>
      <charset val="1"/>
    </font>
    <font>
      <b/>
      <sz val="11"/>
      <color rgb="FF1A1A1A"/>
      <name val="Arial"/>
      <charset val="1"/>
    </font>
    <font>
      <b/>
      <sz val="12"/>
      <color rgb="FF4A196F"/>
      <name val="Arial"/>
      <charset val="1"/>
    </font>
    <font>
      <b/>
      <sz val="11"/>
      <color rgb="FF4A196F"/>
      <name val="Arial"/>
      <charset val="1"/>
    </font>
    <font>
      <i/>
      <sz val="8"/>
      <color rgb="FF63656A"/>
      <name val="Arial"/>
      <charset val="1"/>
    </font>
    <font>
      <b/>
      <sz val="10"/>
      <color rgb="FF1A1A1A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4A196F"/>
        <bgColor rgb="FF333399"/>
      </patternFill>
    </fill>
    <fill>
      <patternFill patternType="solid">
        <fgColor rgb="FFED8B00"/>
        <bgColor rgb="FFFF6600"/>
      </patternFill>
    </fill>
    <fill>
      <patternFill patternType="solid">
        <fgColor rgb="FFDDEBF7"/>
        <bgColor rgb="FFECE5F2"/>
      </patternFill>
    </fill>
    <fill>
      <patternFill patternType="solid">
        <fgColor rgb="FFEFEAF5"/>
        <bgColor rgb="FFF0EAF7"/>
      </patternFill>
    </fill>
    <fill>
      <patternFill patternType="solid">
        <fgColor rgb="FFF6F4F8"/>
        <bgColor rgb="FFF0EAF7"/>
      </patternFill>
    </fill>
    <fill>
      <patternFill patternType="solid">
        <fgColor rgb="FFF0EAF7"/>
        <bgColor rgb="FFEFEAF5"/>
      </patternFill>
    </fill>
  </fills>
  <borders count="3">
    <border>
      <left/>
      <right/>
      <top/>
      <bottom/>
      <diagonal/>
    </border>
    <border>
      <left style="thin">
        <color rgb="FFD9CFE6"/>
      </left>
      <right style="thin">
        <color rgb="FFD9CFE6"/>
      </right>
      <top style="thin">
        <color rgb="FFD9CFE6"/>
      </top>
      <bottom style="thin">
        <color rgb="FFD9CFE6"/>
      </bottom>
      <diagonal/>
    </border>
    <border>
      <left/>
      <right/>
      <top/>
      <bottom style="thin">
        <color rgb="FFECE5F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5" borderId="0" xfId="0" applyFont="1" applyFill="1"/>
    <xf numFmtId="0" fontId="2" fillId="2" borderId="0" xfId="0" applyFont="1" applyFill="1" applyAlignment="1">
      <alignment vertical="center" indent="1"/>
    </xf>
    <xf numFmtId="0" fontId="17" fillId="0" borderId="0" xfId="0" applyFont="1" applyAlignment="1">
      <alignment vertical="top" wrapText="1"/>
    </xf>
    <xf numFmtId="0" fontId="7" fillId="2" borderId="0" xfId="0" applyFont="1" applyFill="1" applyAlignment="1">
      <alignment vertical="center" indent="1"/>
    </xf>
    <xf numFmtId="0" fontId="6" fillId="0" borderId="0" xfId="0" applyFont="1" applyAlignment="1">
      <alignment indent="1"/>
    </xf>
    <xf numFmtId="0" fontId="1" fillId="2" borderId="0" xfId="0" applyFont="1" applyFill="1" applyAlignment="1">
      <alignment vertical="center" indent="1"/>
    </xf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 wrapText="1" indent="1"/>
    </xf>
    <xf numFmtId="0" fontId="4" fillId="0" borderId="0" xfId="0" applyFont="1"/>
    <xf numFmtId="0" fontId="5" fillId="0" borderId="0" xfId="0" applyFont="1" applyAlignment="1">
      <alignment vertical="center" wrapText="1" indent="1"/>
    </xf>
    <xf numFmtId="0" fontId="8" fillId="0" borderId="0" xfId="0" applyFont="1"/>
    <xf numFmtId="0" fontId="9" fillId="4" borderId="1" xfId="0" applyFont="1" applyFill="1" applyBorder="1"/>
    <xf numFmtId="3" fontId="9" fillId="4" borderId="1" xfId="0" applyNumberFormat="1" applyFont="1" applyFill="1" applyBorder="1"/>
    <xf numFmtId="164" fontId="9" fillId="4" borderId="1" xfId="0" applyNumberFormat="1" applyFont="1" applyFill="1" applyBorder="1"/>
    <xf numFmtId="165" fontId="9" fillId="4" borderId="1" xfId="0" applyNumberFormat="1" applyFont="1" applyFill="1" applyBorder="1"/>
    <xf numFmtId="166" fontId="9" fillId="4" borderId="1" xfId="0" applyNumberFormat="1" applyFont="1" applyFill="1" applyBorder="1"/>
    <xf numFmtId="167" fontId="9" fillId="4" borderId="1" xfId="0" applyNumberFormat="1" applyFont="1" applyFill="1" applyBorder="1"/>
    <xf numFmtId="0" fontId="6" fillId="0" borderId="0" xfId="0" applyFont="1"/>
    <xf numFmtId="0" fontId="10" fillId="0" borderId="0" xfId="0" applyFont="1"/>
    <xf numFmtId="0" fontId="11" fillId="0" borderId="0" xfId="0" applyFont="1"/>
    <xf numFmtId="164" fontId="12" fillId="5" borderId="1" xfId="0" applyNumberFormat="1" applyFont="1" applyFill="1" applyBorder="1"/>
    <xf numFmtId="165" fontId="12" fillId="5" borderId="1" xfId="0" applyNumberFormat="1" applyFont="1" applyFill="1" applyBorder="1"/>
    <xf numFmtId="3" fontId="12" fillId="5" borderId="1" xfId="0" applyNumberFormat="1" applyFont="1" applyFill="1" applyBorder="1"/>
    <xf numFmtId="0" fontId="5" fillId="0" borderId="0" xfId="0" applyFont="1"/>
    <xf numFmtId="164" fontId="13" fillId="0" borderId="0" xfId="0" applyNumberFormat="1" applyFont="1"/>
    <xf numFmtId="165" fontId="3" fillId="0" borderId="0" xfId="0" applyNumberFormat="1" applyFont="1"/>
    <xf numFmtId="3" fontId="3" fillId="0" borderId="0" xfId="0" applyNumberFormat="1" applyFont="1"/>
    <xf numFmtId="165" fontId="14" fillId="0" borderId="0" xfId="0" applyNumberFormat="1" applyFont="1"/>
    <xf numFmtId="165" fontId="3" fillId="6" borderId="0" xfId="0" applyNumberFormat="1" applyFont="1" applyFill="1"/>
    <xf numFmtId="0" fontId="15" fillId="0" borderId="0" xfId="0" applyFont="1"/>
    <xf numFmtId="165" fontId="15" fillId="7" borderId="0" xfId="0" applyNumberFormat="1" applyFont="1" applyFill="1"/>
    <xf numFmtId="165" fontId="13" fillId="0" borderId="0" xfId="0" applyNumberFormat="1" applyFont="1"/>
    <xf numFmtId="0" fontId="16" fillId="0" borderId="0" xfId="0" applyFont="1"/>
    <xf numFmtId="165" fontId="16" fillId="7" borderId="0" xfId="0" applyNumberFormat="1" applyFont="1" applyFill="1"/>
    <xf numFmtId="168" fontId="16" fillId="0" borderId="0" xfId="0" applyNumberFormat="1" applyFont="1"/>
    <xf numFmtId="169" fontId="16" fillId="0" borderId="0" xfId="0" applyNumberFormat="1" applyFont="1"/>
    <xf numFmtId="0" fontId="5" fillId="0" borderId="2" xfId="0" applyFont="1" applyBorder="1"/>
    <xf numFmtId="0" fontId="18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4F8"/>
      <rgbColor rgb="FFDDEBF7"/>
      <rgbColor rgb="FF4A196F"/>
      <rgbColor rgb="FFFF8080"/>
      <rgbColor rgb="FF0066CC"/>
      <rgbColor rgb="FFD9CF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AF5"/>
      <rgbColor rgb="FFF0EAF7"/>
      <rgbColor rgb="FFFFFF99"/>
      <rgbColor rgb="FF99CCFF"/>
      <rgbColor rgb="FFFF99CC"/>
      <rgbColor rgb="FFCC99FF"/>
      <rgbColor rgb="FFECE5F2"/>
      <rgbColor rgb="FF3366FF"/>
      <rgbColor rgb="FF33CCCC"/>
      <rgbColor rgb="FF99CC00"/>
      <rgbColor rgb="FFFFCC00"/>
      <rgbColor rgb="FFED8B00"/>
      <rgbColor rgb="FFFF6600"/>
      <rgbColor rgb="FF63656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3"/>
  <sheetViews>
    <sheetView showGridLines="0" tabSelected="1" zoomScaleNormal="100" workbookViewId="0">
      <selection sqref="A1:B1"/>
    </sheetView>
  </sheetViews>
  <sheetFormatPr baseColWidth="10" defaultColWidth="8.6640625" defaultRowHeight="15" x14ac:dyDescent="0.2"/>
  <cols>
    <col min="1" max="1" width="4" customWidth="1"/>
    <col min="2" max="2" width="95" customWidth="1"/>
  </cols>
  <sheetData>
    <row r="1" spans="1:2" ht="27.75" customHeight="1" x14ac:dyDescent="0.2">
      <c r="A1" s="6" t="s">
        <v>0</v>
      </c>
      <c r="B1" s="6"/>
    </row>
    <row r="3" spans="1:2" ht="43.5" customHeight="1" x14ac:dyDescent="0.2">
      <c r="A3" s="7" t="s">
        <v>1</v>
      </c>
      <c r="B3" s="8" t="s">
        <v>2</v>
      </c>
    </row>
    <row r="4" spans="1:2" ht="43.5" customHeight="1" x14ac:dyDescent="0.2">
      <c r="A4" s="7" t="s">
        <v>3</v>
      </c>
      <c r="B4" s="8" t="s">
        <v>4</v>
      </c>
    </row>
    <row r="5" spans="1:2" ht="43.5" customHeight="1" x14ac:dyDescent="0.2">
      <c r="A5" s="7" t="s">
        <v>5</v>
      </c>
      <c r="B5" s="8" t="s">
        <v>6</v>
      </c>
    </row>
    <row r="6" spans="1:2" ht="43.5" customHeight="1" x14ac:dyDescent="0.2">
      <c r="A6" s="7" t="s">
        <v>7</v>
      </c>
      <c r="B6" s="8" t="s">
        <v>8</v>
      </c>
    </row>
    <row r="7" spans="1:2" ht="43.5" customHeight="1" x14ac:dyDescent="0.2">
      <c r="A7" s="7" t="s">
        <v>9</v>
      </c>
      <c r="B7" s="8" t="s">
        <v>10</v>
      </c>
    </row>
    <row r="8" spans="1:2" ht="43.5" customHeight="1" x14ac:dyDescent="0.2">
      <c r="A8" s="7" t="s">
        <v>11</v>
      </c>
      <c r="B8" s="8" t="s">
        <v>12</v>
      </c>
    </row>
    <row r="10" spans="1:2" x14ac:dyDescent="0.2">
      <c r="B10" s="9" t="s">
        <v>13</v>
      </c>
    </row>
    <row r="11" spans="1:2" ht="27.75" customHeight="1" x14ac:dyDescent="0.2">
      <c r="B11" s="10" t="s">
        <v>14</v>
      </c>
    </row>
    <row r="12" spans="1:2" ht="27.75" customHeight="1" x14ac:dyDescent="0.2">
      <c r="B12" s="10" t="s">
        <v>15</v>
      </c>
    </row>
    <row r="13" spans="1:2" ht="27.75" customHeight="1" x14ac:dyDescent="0.2">
      <c r="B13" s="10" t="s">
        <v>16</v>
      </c>
    </row>
  </sheetData>
  <mergeCells count="1">
    <mergeCell ref="A1:B1"/>
  </mergeCells>
  <pageMargins left="0.4" right="0.4" top="0.5" bottom="0.5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96"/>
  <sheetViews>
    <sheetView showGridLines="0" zoomScaleNormal="100" workbookViewId="0">
      <pane ySplit="2" topLeftCell="A58" activePane="bottomLeft" state="frozen"/>
      <selection pane="bottomLeft" sqref="A1:E1"/>
    </sheetView>
  </sheetViews>
  <sheetFormatPr baseColWidth="10" defaultColWidth="8.6640625" defaultRowHeight="15" x14ac:dyDescent="0.2"/>
  <cols>
    <col min="1" max="1" width="34" customWidth="1"/>
    <col min="2" max="2" width="15" customWidth="1"/>
    <col min="3" max="4" width="13" customWidth="1"/>
    <col min="5" max="5" width="44" customWidth="1"/>
  </cols>
  <sheetData>
    <row r="1" spans="1:5" ht="25.5" customHeight="1" x14ac:dyDescent="0.2">
      <c r="A1" s="6" t="s">
        <v>17</v>
      </c>
      <c r="B1" s="6"/>
      <c r="C1" s="6"/>
      <c r="D1" s="6"/>
      <c r="E1" s="6"/>
    </row>
    <row r="2" spans="1:5" ht="15" customHeight="1" x14ac:dyDescent="0.2">
      <c r="A2" s="5" t="s">
        <v>18</v>
      </c>
      <c r="B2" s="5"/>
      <c r="C2" s="5"/>
      <c r="D2" s="5"/>
      <c r="E2" s="5"/>
    </row>
    <row r="4" spans="1:5" ht="18.75" customHeight="1" x14ac:dyDescent="0.2">
      <c r="A4" s="4" t="s">
        <v>19</v>
      </c>
      <c r="B4" s="4"/>
      <c r="C4" s="4"/>
      <c r="D4" s="4"/>
      <c r="E4" s="4"/>
    </row>
    <row r="5" spans="1:5" ht="15" customHeight="1" x14ac:dyDescent="0.2">
      <c r="A5" s="11" t="s">
        <v>20</v>
      </c>
      <c r="B5" s="12"/>
    </row>
    <row r="6" spans="1:5" ht="15" customHeight="1" x14ac:dyDescent="0.2">
      <c r="A6" s="11" t="s">
        <v>21</v>
      </c>
      <c r="B6" s="13"/>
    </row>
    <row r="7" spans="1:5" ht="15" customHeight="1" x14ac:dyDescent="0.2">
      <c r="A7" s="11" t="s">
        <v>22</v>
      </c>
      <c r="B7" s="14"/>
    </row>
    <row r="8" spans="1:5" ht="15" customHeight="1" x14ac:dyDescent="0.2">
      <c r="A8" s="11" t="s">
        <v>23</v>
      </c>
      <c r="B8" s="15"/>
    </row>
    <row r="9" spans="1:5" ht="15" customHeight="1" x14ac:dyDescent="0.2">
      <c r="A9" s="11" t="s">
        <v>24</v>
      </c>
      <c r="B9" s="16"/>
    </row>
    <row r="10" spans="1:5" ht="15" customHeight="1" x14ac:dyDescent="0.2">
      <c r="A10" s="11" t="s">
        <v>25</v>
      </c>
      <c r="B10" s="14"/>
    </row>
    <row r="11" spans="1:5" ht="15" customHeight="1" x14ac:dyDescent="0.2">
      <c r="A11" s="11" t="s">
        <v>26</v>
      </c>
      <c r="B11" s="15"/>
    </row>
    <row r="12" spans="1:5" ht="15" customHeight="1" x14ac:dyDescent="0.2">
      <c r="A12" s="11" t="s">
        <v>27</v>
      </c>
      <c r="B12" s="14"/>
    </row>
    <row r="13" spans="1:5" ht="15" customHeight="1" x14ac:dyDescent="0.2">
      <c r="A13" s="11" t="s">
        <v>28</v>
      </c>
      <c r="B13" s="14"/>
    </row>
    <row r="15" spans="1:5" ht="18.75" customHeight="1" x14ac:dyDescent="0.2">
      <c r="A15" s="4" t="s">
        <v>29</v>
      </c>
      <c r="B15" s="4"/>
      <c r="C15" s="4"/>
      <c r="D15" s="4"/>
      <c r="E15" s="4"/>
    </row>
    <row r="16" spans="1:5" ht="15" customHeight="1" x14ac:dyDescent="0.2">
      <c r="A16" s="11" t="s">
        <v>30</v>
      </c>
      <c r="B16" s="17">
        <v>5.15</v>
      </c>
      <c r="E16" s="18" t="s">
        <v>31</v>
      </c>
    </row>
    <row r="17" spans="1:5" ht="15" customHeight="1" x14ac:dyDescent="0.2">
      <c r="A17" s="11" t="s">
        <v>32</v>
      </c>
      <c r="B17" s="15">
        <v>6500</v>
      </c>
    </row>
    <row r="18" spans="1:5" ht="15" customHeight="1" x14ac:dyDescent="0.2">
      <c r="A18" s="11" t="s">
        <v>33</v>
      </c>
      <c r="B18" s="13">
        <v>1</v>
      </c>
    </row>
    <row r="19" spans="1:5" ht="15" customHeight="1" x14ac:dyDescent="0.2">
      <c r="A19" s="11" t="s">
        <v>34</v>
      </c>
      <c r="B19" s="13">
        <v>20</v>
      </c>
      <c r="E19" s="18" t="s">
        <v>35</v>
      </c>
    </row>
    <row r="21" spans="1:5" ht="18.75" customHeight="1" x14ac:dyDescent="0.2">
      <c r="A21" s="4" t="s">
        <v>36</v>
      </c>
      <c r="B21" s="4"/>
      <c r="C21" s="4"/>
      <c r="D21" s="4"/>
      <c r="E21" s="4"/>
    </row>
    <row r="22" spans="1:5" ht="15" customHeight="1" x14ac:dyDescent="0.2">
      <c r="A22" s="19" t="s">
        <v>37</v>
      </c>
      <c r="B22" s="19" t="s">
        <v>38</v>
      </c>
      <c r="C22" s="19" t="s">
        <v>39</v>
      </c>
      <c r="D22" s="19" t="s">
        <v>40</v>
      </c>
    </row>
    <row r="23" spans="1:5" ht="15" customHeight="1" x14ac:dyDescent="0.2">
      <c r="A23" s="20" t="s">
        <v>41</v>
      </c>
      <c r="B23" s="21">
        <v>0.03</v>
      </c>
      <c r="C23" s="21">
        <v>0.3</v>
      </c>
      <c r="D23" s="21">
        <v>0.8</v>
      </c>
      <c r="E23" s="18" t="s">
        <v>42</v>
      </c>
    </row>
    <row r="24" spans="1:5" ht="15" customHeight="1" x14ac:dyDescent="0.2">
      <c r="A24" s="20" t="s">
        <v>43</v>
      </c>
      <c r="B24" s="21">
        <v>0.03</v>
      </c>
      <c r="C24" s="21">
        <v>0.5</v>
      </c>
      <c r="D24" s="21">
        <v>0.8</v>
      </c>
      <c r="E24" s="18" t="s">
        <v>44</v>
      </c>
    </row>
    <row r="25" spans="1:5" ht="15" customHeight="1" x14ac:dyDescent="0.2">
      <c r="A25" s="20" t="s">
        <v>45</v>
      </c>
      <c r="B25" s="21">
        <v>0.05</v>
      </c>
      <c r="C25" s="21">
        <v>0.5</v>
      </c>
      <c r="D25" s="21">
        <v>0.8</v>
      </c>
      <c r="E25" s="18" t="s">
        <v>46</v>
      </c>
    </row>
    <row r="26" spans="1:5" ht="15" customHeight="1" x14ac:dyDescent="0.2">
      <c r="A26" s="20" t="s">
        <v>47</v>
      </c>
      <c r="B26" s="21">
        <v>0.01</v>
      </c>
      <c r="C26" s="21">
        <v>1</v>
      </c>
      <c r="D26" s="21">
        <v>1</v>
      </c>
      <c r="E26" s="18" t="s">
        <v>48</v>
      </c>
    </row>
    <row r="27" spans="1:5" ht="15" customHeight="1" x14ac:dyDescent="0.2">
      <c r="A27" s="20" t="s">
        <v>49</v>
      </c>
      <c r="B27" s="21">
        <v>0.04</v>
      </c>
      <c r="C27" s="21">
        <v>1</v>
      </c>
      <c r="D27" s="21">
        <v>1</v>
      </c>
      <c r="E27" s="18" t="s">
        <v>50</v>
      </c>
    </row>
    <row r="29" spans="1:5" ht="18.75" customHeight="1" x14ac:dyDescent="0.2">
      <c r="A29" s="4" t="s">
        <v>51</v>
      </c>
      <c r="B29" s="4"/>
      <c r="C29" s="4"/>
      <c r="D29" s="4"/>
      <c r="E29" s="4"/>
    </row>
    <row r="30" spans="1:5" ht="15" customHeight="1" x14ac:dyDescent="0.2">
      <c r="A30" s="19" t="s">
        <v>52</v>
      </c>
      <c r="B30" s="19" t="s">
        <v>53</v>
      </c>
      <c r="C30" s="19"/>
      <c r="D30" s="19" t="s">
        <v>54</v>
      </c>
    </row>
    <row r="31" spans="1:5" ht="15" customHeight="1" x14ac:dyDescent="0.2">
      <c r="A31" s="11" t="s">
        <v>55</v>
      </c>
      <c r="B31" s="21">
        <v>0.01</v>
      </c>
      <c r="D31" s="21">
        <v>0.9</v>
      </c>
      <c r="E31" s="18" t="s">
        <v>56</v>
      </c>
    </row>
    <row r="32" spans="1:5" ht="15" customHeight="1" x14ac:dyDescent="0.2">
      <c r="A32" s="11" t="s">
        <v>57</v>
      </c>
      <c r="B32" s="21">
        <v>0.01</v>
      </c>
      <c r="D32" s="21">
        <v>0.7</v>
      </c>
    </row>
    <row r="33" spans="1:5" ht="15" customHeight="1" x14ac:dyDescent="0.2">
      <c r="A33" s="11" t="s">
        <v>58</v>
      </c>
      <c r="B33" s="22">
        <v>10</v>
      </c>
      <c r="D33" s="21">
        <v>0.4</v>
      </c>
      <c r="E33" s="18" t="s">
        <v>59</v>
      </c>
    </row>
    <row r="34" spans="1:5" ht="15" customHeight="1" x14ac:dyDescent="0.2">
      <c r="A34" s="11" t="s">
        <v>60</v>
      </c>
      <c r="B34" s="23">
        <v>500</v>
      </c>
      <c r="D34" s="22">
        <v>65</v>
      </c>
      <c r="E34" s="18" t="s">
        <v>61</v>
      </c>
    </row>
    <row r="36" spans="1:5" ht="18.75" customHeight="1" x14ac:dyDescent="0.2">
      <c r="A36" s="4" t="s">
        <v>62</v>
      </c>
      <c r="B36" s="4"/>
      <c r="C36" s="4"/>
      <c r="D36" s="4"/>
      <c r="E36" s="4"/>
    </row>
    <row r="37" spans="1:5" ht="15" customHeight="1" x14ac:dyDescent="0.2">
      <c r="A37" s="11" t="s">
        <v>63</v>
      </c>
      <c r="B37" s="21">
        <v>0.6</v>
      </c>
      <c r="E37" s="18" t="s">
        <v>64</v>
      </c>
    </row>
    <row r="38" spans="1:5" ht="15" customHeight="1" x14ac:dyDescent="0.2">
      <c r="A38" s="11" t="s">
        <v>65</v>
      </c>
      <c r="B38" s="21">
        <v>0.7</v>
      </c>
    </row>
    <row r="39" spans="1:5" ht="15" customHeight="1" x14ac:dyDescent="0.2">
      <c r="A39" s="11" t="s">
        <v>66</v>
      </c>
      <c r="B39" s="21">
        <v>0.55000000000000004</v>
      </c>
      <c r="E39" s="18" t="s">
        <v>67</v>
      </c>
    </row>
    <row r="40" spans="1:5" ht="15" customHeight="1" x14ac:dyDescent="0.2">
      <c r="A40" s="24" t="s">
        <v>68</v>
      </c>
      <c r="B40" s="25">
        <f>B37*B38*B39</f>
        <v>0.23100000000000001</v>
      </c>
    </row>
    <row r="41" spans="1:5" ht="15" customHeight="1" x14ac:dyDescent="0.2">
      <c r="A41" s="24" t="s">
        <v>69</v>
      </c>
      <c r="B41" s="25">
        <f>B37*B38</f>
        <v>0.42</v>
      </c>
    </row>
    <row r="43" spans="1:5" ht="18.75" customHeight="1" x14ac:dyDescent="0.2">
      <c r="A43" s="4" t="s">
        <v>70</v>
      </c>
      <c r="B43" s="4"/>
      <c r="C43" s="4"/>
      <c r="D43" s="4"/>
      <c r="E43" s="4"/>
    </row>
    <row r="44" spans="1:5" ht="15" customHeight="1" x14ac:dyDescent="0.2">
      <c r="A44" s="19" t="s">
        <v>52</v>
      </c>
      <c r="B44" s="19" t="s">
        <v>71</v>
      </c>
      <c r="C44" s="19" t="s">
        <v>72</v>
      </c>
    </row>
    <row r="45" spans="1:5" ht="15" customHeight="1" x14ac:dyDescent="0.2">
      <c r="A45" s="11" t="s">
        <v>73</v>
      </c>
      <c r="B45" s="21">
        <v>5.0000000000000001E-3</v>
      </c>
      <c r="C45" s="21">
        <v>5.0000000000000001E-3</v>
      </c>
    </row>
    <row r="46" spans="1:5" ht="15" customHeight="1" x14ac:dyDescent="0.2">
      <c r="A46" s="11" t="s">
        <v>74</v>
      </c>
      <c r="B46" s="21">
        <v>0.01</v>
      </c>
      <c r="C46" s="21">
        <v>5.0000000000000001E-3</v>
      </c>
    </row>
    <row r="47" spans="1:5" ht="15" customHeight="1" x14ac:dyDescent="0.2">
      <c r="A47" s="11" t="s">
        <v>75</v>
      </c>
      <c r="B47" s="22">
        <v>5</v>
      </c>
      <c r="C47" s="22">
        <v>5</v>
      </c>
    </row>
    <row r="48" spans="1:5" ht="15" customHeight="1" x14ac:dyDescent="0.2">
      <c r="A48" s="11" t="s">
        <v>76</v>
      </c>
      <c r="B48" s="21">
        <v>0.4</v>
      </c>
      <c r="C48" s="21">
        <v>0.3</v>
      </c>
    </row>
    <row r="50" spans="1:5" ht="18.75" customHeight="1" x14ac:dyDescent="0.2">
      <c r="A50" s="4" t="s">
        <v>77</v>
      </c>
      <c r="B50" s="4"/>
      <c r="C50" s="4"/>
      <c r="D50" s="4"/>
      <c r="E50" s="4"/>
    </row>
    <row r="51" spans="1:5" ht="15" customHeight="1" x14ac:dyDescent="0.2">
      <c r="A51" s="11" t="s">
        <v>78</v>
      </c>
      <c r="B51" s="26">
        <f>B6*365*B7*B8</f>
        <v>0</v>
      </c>
    </row>
    <row r="52" spans="1:5" ht="15" customHeight="1" x14ac:dyDescent="0.2">
      <c r="A52" s="11" t="s">
        <v>79</v>
      </c>
      <c r="B52" s="27">
        <f>IFERROR(B6*365*B7/B9,0)</f>
        <v>0</v>
      </c>
    </row>
    <row r="53" spans="1:5" ht="15" customHeight="1" x14ac:dyDescent="0.2">
      <c r="A53" s="11" t="s">
        <v>80</v>
      </c>
      <c r="B53" s="26">
        <f>B51*B10</f>
        <v>0</v>
      </c>
    </row>
    <row r="54" spans="1:5" ht="15" customHeight="1" x14ac:dyDescent="0.2">
      <c r="A54" s="11" t="s">
        <v>81</v>
      </c>
      <c r="B54" s="26">
        <f>B52*B11</f>
        <v>0</v>
      </c>
    </row>
    <row r="55" spans="1:5" ht="15" customHeight="1" x14ac:dyDescent="0.2">
      <c r="A55" s="11" t="s">
        <v>82</v>
      </c>
      <c r="B55" s="28">
        <f>B51+B54</f>
        <v>0</v>
      </c>
    </row>
    <row r="56" spans="1:5" ht="15" customHeight="1" x14ac:dyDescent="0.2">
      <c r="A56" s="11" t="s">
        <v>83</v>
      </c>
      <c r="B56" s="26">
        <f>B55*B12</f>
        <v>0</v>
      </c>
    </row>
    <row r="58" spans="1:5" ht="18.75" customHeight="1" x14ac:dyDescent="0.2">
      <c r="A58" s="4" t="s">
        <v>84</v>
      </c>
      <c r="B58" s="4"/>
      <c r="C58" s="4"/>
      <c r="D58" s="4"/>
      <c r="E58" s="4"/>
    </row>
    <row r="59" spans="1:5" ht="15" customHeight="1" x14ac:dyDescent="0.2">
      <c r="A59" s="11" t="s">
        <v>41</v>
      </c>
      <c r="B59" s="29">
        <f>B51*B23*C23*D23</f>
        <v>0</v>
      </c>
    </row>
    <row r="60" spans="1:5" ht="15" customHeight="1" x14ac:dyDescent="0.2">
      <c r="A60" s="11" t="s">
        <v>43</v>
      </c>
      <c r="B60" s="29">
        <f>B56*B24*C24*D24</f>
        <v>0</v>
      </c>
    </row>
    <row r="61" spans="1:5" ht="15" customHeight="1" x14ac:dyDescent="0.2">
      <c r="A61" s="11" t="s">
        <v>45</v>
      </c>
      <c r="B61" s="29">
        <f>B53*B25*C25*D25</f>
        <v>0</v>
      </c>
    </row>
    <row r="62" spans="1:5" ht="15" customHeight="1" x14ac:dyDescent="0.2">
      <c r="A62" s="11" t="s">
        <v>85</v>
      </c>
      <c r="B62" s="29">
        <f>B51*B26*C26*D26</f>
        <v>0</v>
      </c>
    </row>
    <row r="63" spans="1:5" ht="15" customHeight="1" x14ac:dyDescent="0.2">
      <c r="A63" s="11" t="s">
        <v>49</v>
      </c>
      <c r="B63" s="29">
        <f>B54*B27*C27*D27</f>
        <v>0</v>
      </c>
    </row>
    <row r="64" spans="1:5" ht="15" customHeight="1" x14ac:dyDescent="0.2">
      <c r="A64" s="30" t="s">
        <v>86</v>
      </c>
      <c r="B64" s="31">
        <f>SUM(B59:B63)</f>
        <v>0</v>
      </c>
    </row>
    <row r="65" spans="1:5" ht="15" customHeight="1" x14ac:dyDescent="0.2">
      <c r="A65" s="11" t="s">
        <v>87</v>
      </c>
      <c r="B65" s="25">
        <f>IFERROR(B64/B51,0)</f>
        <v>0</v>
      </c>
    </row>
    <row r="67" spans="1:5" ht="18.75" customHeight="1" x14ac:dyDescent="0.2">
      <c r="A67" s="4" t="s">
        <v>88</v>
      </c>
      <c r="B67" s="4"/>
      <c r="C67" s="4"/>
      <c r="D67" s="4"/>
      <c r="E67" s="4"/>
    </row>
    <row r="68" spans="1:5" ht="15" customHeight="1" x14ac:dyDescent="0.2">
      <c r="A68" s="11" t="s">
        <v>89</v>
      </c>
      <c r="B68" s="29">
        <f>B51*B31*D31</f>
        <v>0</v>
      </c>
    </row>
    <row r="69" spans="1:5" ht="15" customHeight="1" x14ac:dyDescent="0.2">
      <c r="A69" s="11" t="s">
        <v>90</v>
      </c>
      <c r="B69" s="29">
        <f>IFERROR(B51*(B32/B7)*D32,0)</f>
        <v>0</v>
      </c>
    </row>
    <row r="70" spans="1:5" ht="15" customHeight="1" x14ac:dyDescent="0.2">
      <c r="A70" s="11" t="s">
        <v>91</v>
      </c>
      <c r="B70" s="29">
        <f>B52*B33*D33</f>
        <v>0</v>
      </c>
    </row>
    <row r="71" spans="1:5" ht="15" customHeight="1" x14ac:dyDescent="0.2">
      <c r="A71" s="11" t="s">
        <v>92</v>
      </c>
      <c r="B71" s="28">
        <f>SUM(B68:B70)</f>
        <v>0</v>
      </c>
    </row>
    <row r="72" spans="1:5" ht="15" customHeight="1" x14ac:dyDescent="0.2">
      <c r="A72" s="11" t="s">
        <v>93</v>
      </c>
      <c r="B72" s="32">
        <f>B34*D34</f>
        <v>32500</v>
      </c>
    </row>
    <row r="73" spans="1:5" ht="15" customHeight="1" x14ac:dyDescent="0.2">
      <c r="A73" s="30" t="s">
        <v>94</v>
      </c>
      <c r="B73" s="31">
        <f>B64+B71</f>
        <v>0</v>
      </c>
      <c r="E73" s="18" t="s">
        <v>95</v>
      </c>
    </row>
    <row r="75" spans="1:5" ht="18.75" customHeight="1" x14ac:dyDescent="0.2">
      <c r="A75" s="4" t="s">
        <v>96</v>
      </c>
      <c r="B75" s="4"/>
      <c r="C75" s="4"/>
      <c r="D75" s="4"/>
      <c r="E75" s="4"/>
    </row>
    <row r="76" spans="1:5" ht="15" customHeight="1" x14ac:dyDescent="0.2">
      <c r="A76" s="11" t="s">
        <v>97</v>
      </c>
      <c r="B76" s="28">
        <f>B73*B40</f>
        <v>0</v>
      </c>
      <c r="E76" s="18" t="s">
        <v>98</v>
      </c>
    </row>
    <row r="77" spans="1:5" ht="15" customHeight="1" x14ac:dyDescent="0.2">
      <c r="A77" s="11" t="s">
        <v>99</v>
      </c>
      <c r="B77" s="28">
        <f>IFERROR((B73+(B51*B45*D31 + B51*(B46/B7)*D32 + B52*B47*D33 + (B51*B23*(1-C23)*D23+B56*B24*(1-C24)*D24+B53*B25*(1-C25)*D25)*B48))*B41,0)</f>
        <v>0</v>
      </c>
      <c r="E77" s="18" t="s">
        <v>100</v>
      </c>
    </row>
    <row r="78" spans="1:5" ht="15" customHeight="1" x14ac:dyDescent="0.2">
      <c r="A78" s="11" t="s">
        <v>101</v>
      </c>
      <c r="B78" s="28">
        <f>IFERROR((B73+(B51*B45*D31 + B51*(B46/B7)*D32 + B52*B47*D33 + (B51*B23*(1-C23)*D23+B56*B24*(1-C24)*D24+B53*B25*(1-C25)*D25)*B48)+(B51*C45*D31 + B51*(C46/B7)*D32 + B52*C47*D33 + (B51*B23*(1-C23)*D23+B56*B24*(1-C24)*D24+B53*B25*(1-C25)*D25)*(1-B48)*C48))*B41,0)</f>
        <v>0</v>
      </c>
      <c r="E78" s="18" t="s">
        <v>102</v>
      </c>
    </row>
    <row r="79" spans="1:5" ht="15" customHeight="1" x14ac:dyDescent="0.2">
      <c r="A79" s="30" t="s">
        <v>103</v>
      </c>
      <c r="B79" s="31">
        <f>B76+B77+B78</f>
        <v>0</v>
      </c>
    </row>
    <row r="81" spans="1:5" ht="18.75" customHeight="1" x14ac:dyDescent="0.2">
      <c r="A81" s="4" t="s">
        <v>104</v>
      </c>
      <c r="B81" s="4"/>
      <c r="C81" s="4"/>
      <c r="D81" s="4"/>
      <c r="E81" s="4"/>
    </row>
    <row r="82" spans="1:5" ht="15" customHeight="1" x14ac:dyDescent="0.2">
      <c r="A82" s="11" t="s">
        <v>105</v>
      </c>
      <c r="B82" s="26">
        <f>B6*B16*12</f>
        <v>0</v>
      </c>
      <c r="E82" s="18" t="s">
        <v>106</v>
      </c>
    </row>
    <row r="83" spans="1:5" ht="15" customHeight="1" x14ac:dyDescent="0.2">
      <c r="A83" s="11" t="s">
        <v>107</v>
      </c>
      <c r="B83" s="26">
        <f>B18*B17</f>
        <v>6500</v>
      </c>
    </row>
    <row r="84" spans="1:5" ht="15" customHeight="1" x14ac:dyDescent="0.2">
      <c r="A84" s="33" t="s">
        <v>108</v>
      </c>
      <c r="B84" s="34">
        <f>B82+B83</f>
        <v>6500</v>
      </c>
      <c r="E84" s="18" t="s">
        <v>109</v>
      </c>
    </row>
    <row r="85" spans="1:5" ht="15" customHeight="1" x14ac:dyDescent="0.2">
      <c r="A85" s="11" t="s">
        <v>110</v>
      </c>
      <c r="B85" s="26">
        <f>B76-B84</f>
        <v>-6500</v>
      </c>
    </row>
    <row r="86" spans="1:5" ht="15" customHeight="1" x14ac:dyDescent="0.2">
      <c r="A86" s="33" t="s">
        <v>111</v>
      </c>
      <c r="B86" s="35">
        <f>IFERROR(B85/B84,0)</f>
        <v>-1</v>
      </c>
    </row>
    <row r="87" spans="1:5" ht="15" customHeight="1" x14ac:dyDescent="0.2">
      <c r="A87" s="11" t="s">
        <v>112</v>
      </c>
      <c r="B87" s="26">
        <f>B6*B16*12*3+B18*B17</f>
        <v>6500</v>
      </c>
    </row>
    <row r="88" spans="1:5" ht="15" customHeight="1" x14ac:dyDescent="0.2">
      <c r="A88" s="11" t="s">
        <v>113</v>
      </c>
      <c r="B88" s="26">
        <f>B79-B87</f>
        <v>-6500</v>
      </c>
    </row>
    <row r="89" spans="1:5" ht="15" customHeight="1" x14ac:dyDescent="0.2">
      <c r="A89" s="33" t="s">
        <v>114</v>
      </c>
      <c r="B89" s="35">
        <f>IFERROR(B88/B87,0)</f>
        <v>-1</v>
      </c>
    </row>
    <row r="90" spans="1:5" ht="15" customHeight="1" x14ac:dyDescent="0.2">
      <c r="A90" s="11" t="s">
        <v>115</v>
      </c>
      <c r="B90" s="36">
        <f>IFERROR(B84/B76*52,0)</f>
        <v>0</v>
      </c>
    </row>
    <row r="92" spans="1:5" ht="39.75" customHeight="1" x14ac:dyDescent="0.2">
      <c r="A92" s="3" t="s">
        <v>116</v>
      </c>
      <c r="B92" s="3"/>
      <c r="C92" s="3"/>
      <c r="D92" s="3"/>
      <c r="E92" s="3"/>
    </row>
    <row r="94" spans="1:5" ht="18.75" customHeight="1" x14ac:dyDescent="0.2">
      <c r="A94" s="4" t="s">
        <v>117</v>
      </c>
      <c r="B94" s="4"/>
      <c r="C94" s="4"/>
      <c r="D94" s="4"/>
      <c r="E94" s="4"/>
    </row>
    <row r="95" spans="1:5" ht="15" customHeight="1" x14ac:dyDescent="0.2">
      <c r="A95" s="11" t="s">
        <v>118</v>
      </c>
      <c r="B95" s="12"/>
    </row>
    <row r="96" spans="1:5" ht="15" customHeight="1" x14ac:dyDescent="0.2">
      <c r="A96" s="11" t="s">
        <v>119</v>
      </c>
      <c r="B96" s="12" t="s">
        <v>120</v>
      </c>
    </row>
  </sheetData>
  <mergeCells count="15">
    <mergeCell ref="A67:E67"/>
    <mergeCell ref="A75:E75"/>
    <mergeCell ref="A81:E81"/>
    <mergeCell ref="A92:E92"/>
    <mergeCell ref="A94:E94"/>
    <mergeCell ref="A29:E29"/>
    <mergeCell ref="A36:E36"/>
    <mergeCell ref="A43:E43"/>
    <mergeCell ref="A50:E50"/>
    <mergeCell ref="A58:E58"/>
    <mergeCell ref="A1:E1"/>
    <mergeCell ref="A2:E2"/>
    <mergeCell ref="A4:E4"/>
    <mergeCell ref="A15:E15"/>
    <mergeCell ref="A21:E21"/>
  </mergeCells>
  <pageMargins left="0.3" right="0.3" top="0.4" bottom="0.4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7"/>
  <sheetViews>
    <sheetView showGridLines="0" zoomScaleNormal="100" workbookViewId="0">
      <selection sqref="A1:B1"/>
    </sheetView>
  </sheetViews>
  <sheetFormatPr baseColWidth="10" defaultColWidth="8.6640625" defaultRowHeight="15" x14ac:dyDescent="0.2"/>
  <cols>
    <col min="1" max="1" width="26" customWidth="1"/>
    <col min="2" max="2" width="64" customWidth="1"/>
  </cols>
  <sheetData>
    <row r="1" spans="1:2" ht="24" customHeight="1" x14ac:dyDescent="0.2">
      <c r="A1" s="2" t="s">
        <v>121</v>
      </c>
      <c r="B1" s="2"/>
    </row>
    <row r="2" spans="1:2" ht="15" customHeight="1" x14ac:dyDescent="0.2">
      <c r="A2" s="19" t="s">
        <v>122</v>
      </c>
      <c r="B2" s="19" t="s">
        <v>123</v>
      </c>
    </row>
    <row r="3" spans="1:2" ht="15" customHeight="1" x14ac:dyDescent="0.2">
      <c r="A3" s="1" t="s">
        <v>124</v>
      </c>
      <c r="B3" s="1"/>
    </row>
    <row r="4" spans="1:2" ht="15" customHeight="1" x14ac:dyDescent="0.2">
      <c r="A4" s="37" t="s">
        <v>125</v>
      </c>
      <c r="B4" s="38" t="str">
        <f>IF(Calculator!$B$5="","",UPPER(Calculator!B5))</f>
        <v/>
      </c>
    </row>
    <row r="5" spans="1:2" ht="15" customHeight="1" x14ac:dyDescent="0.2">
      <c r="A5" s="37" t="s">
        <v>126</v>
      </c>
      <c r="B5" s="38" t="str">
        <f>IF(Calculator!$B$5="","",UPPER(Calculator!B95))</f>
        <v/>
      </c>
    </row>
    <row r="6" spans="1:2" ht="15" customHeight="1" x14ac:dyDescent="0.2">
      <c r="A6" s="37" t="s">
        <v>127</v>
      </c>
      <c r="B6" s="38" t="str">
        <f>IF(Calculator!$B$5="","",TEXT(Calculator!B6,"#,##0")&amp;" rooms · "&amp;TEXT(Calculator!B7*100,"0.0")&amp;"% occ · "&amp;Calculator!B96&amp;TEXT(Calculator!B8,"0")&amp;" ADR · "&amp;TEXT(Calculator!B52,"#,##0")&amp;" stays/yr · rooms "&amp;Calculator!B96&amp;TEXT(Calculator!B51/1000000,"0.00")&amp;"M · ancillary "&amp;Calculator!B96&amp;TEXT(Calculator!B54/1000000,"0.00")&amp;"M · labour "&amp;Calculator!B96&amp;TEXT(Calculator!B56/1000000,"0.00")&amp;"M · CAC "&amp;TEXT(Calculator!B13*100,"0")&amp;"%")</f>
        <v/>
      </c>
    </row>
    <row r="7" spans="1:2" ht="15" customHeight="1" x14ac:dyDescent="0.2">
      <c r="A7" s="37" t="s">
        <v>128</v>
      </c>
      <c r="B7" s="38" t="str">
        <f>IF(Calculator!$B$5="","",Calculator!B96&amp;TEXT(ROUND(Calculator!B64,-3),"#,##0"))</f>
        <v/>
      </c>
    </row>
    <row r="8" spans="1:2" ht="15" customHeight="1" x14ac:dyDescent="0.2">
      <c r="A8" s="37" t="s">
        <v>129</v>
      </c>
      <c r="B8" s="38" t="str">
        <f>IF(Calculator!$B$5="","",Calculator!B96&amp;TEXT(Calculator!B84,"#,##0"))</f>
        <v/>
      </c>
    </row>
    <row r="9" spans="1:2" ht="15" customHeight="1" x14ac:dyDescent="0.2">
      <c r="A9" s="37" t="s">
        <v>130</v>
      </c>
      <c r="B9" s="38" t="str">
        <f>IF(Calculator!$B$5="","",TEXT(ROUND(Calculator!B84/Calculator!B64*100,0),"0")&amp;"%")</f>
        <v/>
      </c>
    </row>
    <row r="10" spans="1:2" ht="15" customHeight="1" x14ac:dyDescent="0.2">
      <c r="A10" s="37" t="s">
        <v>131</v>
      </c>
      <c r="B10" s="38" t="str">
        <f>IF(Calculator!$B$5="","","about "&amp;ROUNDUP(Calculator!B90,0)&amp;" weeks")</f>
        <v/>
      </c>
    </row>
    <row r="11" spans="1:2" ht="15" customHeight="1" x14ac:dyDescent="0.2">
      <c r="A11" s="37" t="s">
        <v>132</v>
      </c>
      <c r="B11" s="38" t="str">
        <f>IF(Calculator!$B$5="","","Forecasting "&amp;Calculator!B96&amp;TEXT(Calculator!B59+Calculator!B61,"#,##0")&amp;" · acquisition cost "&amp;Calculator!B96&amp;TEXT(Calculator!B62,"#,##0")&amp;" · productivity "&amp;Calculator!B96&amp;TEXT(Calculator!B60,"#,##0")&amp;" · variable cost "&amp;Calculator!B96&amp;TEXT(Calculator!B63,"#,##0")&amp;" = "&amp;Calculator!B96&amp;TEXT(Calculator!B64,"#,##0"))</f>
        <v/>
      </c>
    </row>
    <row r="12" spans="1:2" ht="15" customHeight="1" x14ac:dyDescent="0.2">
      <c r="A12" s="1" t="s">
        <v>133</v>
      </c>
      <c r="B12" s="1"/>
    </row>
    <row r="13" spans="1:2" ht="15" customHeight="1" x14ac:dyDescent="0.2">
      <c r="A13" s="37" t="s">
        <v>134</v>
      </c>
      <c r="B13" s="38" t="str">
        <f>IF(Calculator!$B$5="","",Calculator!B96&amp;TEXT(Calculator!B59+Calculator!B61,"#,##0"))</f>
        <v/>
      </c>
    </row>
    <row r="14" spans="1:2" ht="15" customHeight="1" x14ac:dyDescent="0.2">
      <c r="A14" s="37" t="s">
        <v>135</v>
      </c>
      <c r="B14" s="38" t="str">
        <f>IF(Calculator!$B$5="","",Calculator!B96&amp;TEXT(Calculator!B62,"#,##0"))</f>
        <v/>
      </c>
    </row>
    <row r="15" spans="1:2" ht="15" customHeight="1" x14ac:dyDescent="0.2">
      <c r="A15" s="37" t="s">
        <v>136</v>
      </c>
      <c r="B15" s="38" t="str">
        <f>IF(Calculator!$B$5="","",Calculator!B96&amp;TEXT(Calculator!B60,"#,##0"))</f>
        <v/>
      </c>
    </row>
    <row r="16" spans="1:2" ht="15" customHeight="1" x14ac:dyDescent="0.2">
      <c r="A16" s="37" t="s">
        <v>137</v>
      </c>
      <c r="B16" s="38" t="str">
        <f>IF(Calculator!$B$5="","",Calculator!B96&amp;TEXT(Calculator!B63,"#,##0"))</f>
        <v/>
      </c>
    </row>
    <row r="17" spans="1:2" ht="15" customHeight="1" x14ac:dyDescent="0.2">
      <c r="A17" s="37" t="s">
        <v>138</v>
      </c>
      <c r="B17" s="38" t="str">
        <f>IF(Calculator!$B$5="","",Calculator!B96&amp;TEXT(Calculator!B64,"#,##0"))</f>
        <v/>
      </c>
    </row>
    <row r="18" spans="1:2" ht="15" customHeight="1" x14ac:dyDescent="0.2">
      <c r="A18" s="37" t="s">
        <v>139</v>
      </c>
      <c r="B18" s="38" t="str">
        <f>IF(Calculator!$B$5="","",Calculator!B96&amp;TEXT(Calculator!B82,"#,##0"))</f>
        <v/>
      </c>
    </row>
    <row r="19" spans="1:2" ht="15" customHeight="1" x14ac:dyDescent="0.2">
      <c r="A19" s="37" t="s">
        <v>140</v>
      </c>
      <c r="B19" s="38" t="str">
        <f>IF(Calculator!$B$5="","",Calculator!B96&amp;TEXT(Calculator!B83,"#,##0"))</f>
        <v/>
      </c>
    </row>
    <row r="20" spans="1:2" ht="15" customHeight="1" x14ac:dyDescent="0.2">
      <c r="A20" s="37" t="s">
        <v>141</v>
      </c>
      <c r="B20" s="38" t="str">
        <f>IF(Calculator!$B$5="","",TEXT(Calculator!B6,"#,##0"))</f>
        <v/>
      </c>
    </row>
    <row r="21" spans="1:2" ht="15" customHeight="1" x14ac:dyDescent="0.2">
      <c r="A21" s="37" t="s">
        <v>142</v>
      </c>
      <c r="B21" s="38" t="str">
        <f>IF(Calculator!$B$5="","",Calculator!B96&amp;TEXT(Calculator!B51/1000000,"0.00")&amp;"M")</f>
        <v/>
      </c>
    </row>
    <row r="22" spans="1:2" ht="15" customHeight="1" x14ac:dyDescent="0.2">
      <c r="A22" s="37" t="s">
        <v>143</v>
      </c>
      <c r="B22" s="38" t="str">
        <f>IF(Calculator!$B$5="","",Calculator!B96&amp;TEXT(Calculator!B54/1000000,"0.00")&amp;"M")</f>
        <v/>
      </c>
    </row>
    <row r="23" spans="1:2" ht="15" customHeight="1" x14ac:dyDescent="0.2">
      <c r="A23" s="37" t="s">
        <v>144</v>
      </c>
      <c r="B23" s="38" t="str">
        <f>IF(Calculator!$B$5="","",Calculator!B96&amp;TEXT(Calculator!B56/1000000,"0.00")&amp;"M")</f>
        <v/>
      </c>
    </row>
    <row r="24" spans="1:2" ht="15" customHeight="1" x14ac:dyDescent="0.2">
      <c r="A24" s="37" t="s">
        <v>145</v>
      </c>
      <c r="B24" s="38" t="str">
        <f>IF(Calculator!$B$5="","",Calculator!B96&amp;TEXT(ROUND(Calculator!B53/1000,0),"#,##0")&amp;"K")</f>
        <v/>
      </c>
    </row>
    <row r="25" spans="1:2" ht="15" customHeight="1" x14ac:dyDescent="0.2">
      <c r="A25" s="37" t="s">
        <v>146</v>
      </c>
      <c r="B25" s="38" t="str">
        <f>IF(Calculator!$B$5="","",TEXT(Calculator!B13*100,"0")&amp;"%")</f>
        <v/>
      </c>
    </row>
    <row r="26" spans="1:2" ht="15" customHeight="1" x14ac:dyDescent="0.2">
      <c r="A26" s="1" t="s">
        <v>147</v>
      </c>
      <c r="B26" s="1"/>
    </row>
    <row r="27" spans="1:2" ht="15" customHeight="1" x14ac:dyDescent="0.2">
      <c r="A27" s="37" t="s">
        <v>148</v>
      </c>
      <c r="B27" s="38" t="str">
        <f>IF(Calculator!$B$5="","",Calculator!B96&amp;TEXT(Calculator!B59,"#,##0"))</f>
        <v/>
      </c>
    </row>
    <row r="28" spans="1:2" ht="15" customHeight="1" x14ac:dyDescent="0.2">
      <c r="A28" s="37" t="s">
        <v>149</v>
      </c>
      <c r="B28" s="38" t="str">
        <f>IF(Calculator!$B$5="","",Calculator!B96&amp;TEXT(Calculator!B61,"#,##0"))</f>
        <v/>
      </c>
    </row>
    <row r="29" spans="1:2" ht="15" customHeight="1" x14ac:dyDescent="0.2">
      <c r="A29" s="37" t="s">
        <v>150</v>
      </c>
      <c r="B29" s="38" t="str">
        <f>IF(Calculator!$B$5="","","about "&amp;TEXT(Calculator!B64/Calculator!B51*100,"0.0")&amp;"% of room revenue, doing nothing")</f>
        <v/>
      </c>
    </row>
    <row r="30" spans="1:2" ht="15" customHeight="1" x14ac:dyDescent="0.2">
      <c r="A30" s="1" t="s">
        <v>151</v>
      </c>
      <c r="B30" s="1"/>
    </row>
    <row r="31" spans="1:2" ht="15" customHeight="1" x14ac:dyDescent="0.2">
      <c r="A31" s="37" t="s">
        <v>152</v>
      </c>
      <c r="B31" s="38" t="str">
        <f>IF(Calculator!$B$5="","",Calculator!B96&amp;TEXT(Calculator!B73,"#,##0"))</f>
        <v/>
      </c>
    </row>
    <row r="32" spans="1:2" ht="15" customHeight="1" x14ac:dyDescent="0.2">
      <c r="A32" s="37" t="s">
        <v>153</v>
      </c>
      <c r="B32" s="38" t="str">
        <f>IF(Calculator!$B$5="","",Calculator!B96&amp;TEXT(ROUND(Calculator!B76/1000,0),"#,##0")&amp;"k")</f>
        <v/>
      </c>
    </row>
    <row r="33" spans="1:2" ht="15" customHeight="1" x14ac:dyDescent="0.2">
      <c r="A33" s="37" t="s">
        <v>154</v>
      </c>
      <c r="B33" s="38" t="str">
        <f>IF(Calculator!$B$5="","",Calculator!B96&amp;TEXT(ROUND(Calculator!B77/1000,0),"#,##0")&amp;"k")</f>
        <v/>
      </c>
    </row>
    <row r="34" spans="1:2" ht="15" customHeight="1" x14ac:dyDescent="0.2">
      <c r="A34" s="37" t="s">
        <v>155</v>
      </c>
      <c r="B34" s="38" t="str">
        <f>IF(Calculator!$B$5="","",Calculator!B96&amp;TEXT(ROUND(Calculator!B78/1000,0),"#,##0")&amp;"k")</f>
        <v/>
      </c>
    </row>
    <row r="35" spans="1:2" ht="15" customHeight="1" x14ac:dyDescent="0.2">
      <c r="A35" s="37" t="s">
        <v>156</v>
      </c>
      <c r="B35" s="38" t="str">
        <f>IF(Calculator!$B$5="","",Calculator!B96&amp;TEXT(ROUND(Calculator!B79,-3),"#,##0"))</f>
        <v/>
      </c>
    </row>
    <row r="36" spans="1:2" ht="15" customHeight="1" x14ac:dyDescent="0.2">
      <c r="A36" s="1" t="s">
        <v>157</v>
      </c>
      <c r="B36" s="1"/>
    </row>
    <row r="37" spans="1:2" ht="15" customHeight="1" x14ac:dyDescent="0.2">
      <c r="A37" s="37" t="s">
        <v>158</v>
      </c>
      <c r="B37" s="38" t="str">
        <f>IF(Calculator!$B$5="","",Calculator!B96&amp;TEXT(ROUND(Calculator!B64/4,-2),"#,##0"))</f>
        <v/>
      </c>
    </row>
  </sheetData>
  <mergeCells count="6">
    <mergeCell ref="A36:B36"/>
    <mergeCell ref="A1:B1"/>
    <mergeCell ref="A3:B3"/>
    <mergeCell ref="A12:B12"/>
    <mergeCell ref="A26:B26"/>
    <mergeCell ref="A30:B3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How to use</vt:lpstr>
      <vt:lpstr>Calculator</vt:lpstr>
      <vt:lpstr>Deck Values</vt:lpstr>
      <vt:lpstr>Calculator!Utskriftsområde</vt:lpstr>
      <vt:lpstr>'How to use'!Utskriftsområde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Anders Johansson</cp:lastModifiedBy>
  <cp:revision>0</cp:revision>
  <dcterms:created xsi:type="dcterms:W3CDTF">2026-07-24T10:26:44Z</dcterms:created>
  <dcterms:modified xsi:type="dcterms:W3CDTF">2026-07-25T16:00:55Z</dcterms:modified>
  <dc:language>en-US</dc:language>
</cp:coreProperties>
</file>